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/>
  </bookViews>
  <sheets>
    <sheet name="1" sheetId="1" r:id="rId1"/>
    <sheet name="Sheet1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2" l="1"/>
  <c r="L8" i="2"/>
  <c r="L7" i="2"/>
  <c r="L6" i="2"/>
  <c r="L5" i="2"/>
  <c r="L4" i="2"/>
  <c r="L3" i="2"/>
  <c r="J9" i="2"/>
  <c r="K9" i="2"/>
  <c r="I9" i="2"/>
  <c r="J3" i="2"/>
  <c r="K3" i="2"/>
  <c r="J4" i="2"/>
  <c r="K4" i="2"/>
  <c r="J5" i="2"/>
  <c r="K5" i="2"/>
  <c r="J6" i="2"/>
  <c r="K6" i="2"/>
  <c r="J7" i="2"/>
  <c r="K7" i="2"/>
  <c r="J8" i="2"/>
  <c r="K8" i="2"/>
  <c r="I4" i="2"/>
  <c r="I5" i="2"/>
  <c r="I6" i="2"/>
  <c r="I7" i="2"/>
  <c r="I8" i="2"/>
  <c r="I3" i="2"/>
  <c r="B7" i="2"/>
  <c r="A11" i="2"/>
  <c r="A10" i="2"/>
  <c r="B6" i="2"/>
  <c r="T9" i="1" l="1"/>
  <c r="I2" i="1"/>
  <c r="E3" i="1" s="1"/>
  <c r="F2" i="1"/>
  <c r="G2" i="1" s="1"/>
  <c r="R2" i="1" l="1"/>
  <c r="I3" i="1"/>
  <c r="I4" i="1" s="1"/>
  <c r="E4" i="1"/>
  <c r="H2" i="1"/>
  <c r="J2" i="1"/>
  <c r="K2" i="1" s="1"/>
  <c r="D3" i="1" l="1"/>
  <c r="L2" i="1"/>
  <c r="F3" i="1"/>
  <c r="G3" i="1" s="1"/>
  <c r="R3" i="1" s="1"/>
  <c r="I5" i="1"/>
  <c r="E5" i="1"/>
  <c r="J3" i="1" l="1"/>
  <c r="K3" i="1" s="1"/>
  <c r="E6" i="1"/>
  <c r="I6" i="1"/>
  <c r="M2" i="1"/>
  <c r="N2" i="1"/>
  <c r="O2" i="1" s="1"/>
  <c r="H3" i="1"/>
  <c r="I7" i="1" l="1"/>
  <c r="E7" i="1"/>
  <c r="L3" i="1"/>
  <c r="D4" i="1"/>
  <c r="F4" i="1"/>
  <c r="G4" i="1" s="1"/>
  <c r="R4" i="1" s="1"/>
  <c r="J4" i="1" l="1"/>
  <c r="K4" i="1" s="1"/>
  <c r="M3" i="1"/>
  <c r="N3" i="1"/>
  <c r="O3" i="1" s="1"/>
  <c r="I8" i="1"/>
  <c r="E8" i="1"/>
  <c r="H4" i="1"/>
  <c r="I9" i="1" l="1"/>
  <c r="E9" i="1"/>
  <c r="D5" i="1"/>
  <c r="L4" i="1"/>
  <c r="F5" i="1"/>
  <c r="G5" i="1" s="1"/>
  <c r="R5" i="1" s="1"/>
  <c r="P3" i="1"/>
  <c r="Q3" i="1"/>
  <c r="M4" i="1" l="1"/>
  <c r="N4" i="1"/>
  <c r="O4" i="1" s="1"/>
  <c r="I10" i="1"/>
  <c r="E10" i="1"/>
  <c r="J5" i="1"/>
  <c r="K5" i="1" s="1"/>
  <c r="H5" i="1"/>
  <c r="I11" i="1" l="1"/>
  <c r="E11" i="1"/>
  <c r="Q4" i="1"/>
  <c r="P4" i="1"/>
  <c r="L5" i="1"/>
  <c r="D6" i="1"/>
  <c r="F6" i="1"/>
  <c r="G6" i="1" s="1"/>
  <c r="R6" i="1" s="1"/>
  <c r="J6" i="1" l="1"/>
  <c r="K6" i="1" s="1"/>
  <c r="H6" i="1"/>
  <c r="I12" i="1"/>
  <c r="E12" i="1"/>
  <c r="N5" i="1"/>
  <c r="O5" i="1" s="1"/>
  <c r="M5" i="1"/>
  <c r="Q5" i="1" l="1"/>
  <c r="P5" i="1"/>
  <c r="D7" i="1"/>
  <c r="L6" i="1"/>
  <c r="F7" i="1"/>
  <c r="G7" i="1" s="1"/>
  <c r="I13" i="1"/>
  <c r="E13" i="1"/>
  <c r="H7" i="1" l="1"/>
  <c r="R7" i="1"/>
  <c r="I14" i="1"/>
  <c r="E14" i="1"/>
  <c r="J7" i="1"/>
  <c r="K7" i="1" s="1"/>
  <c r="M6" i="1"/>
  <c r="N6" i="1"/>
  <c r="O6" i="1" s="1"/>
  <c r="P6" i="1" l="1"/>
  <c r="Q6" i="1"/>
  <c r="D8" i="1"/>
  <c r="L7" i="1"/>
  <c r="F8" i="1"/>
  <c r="G8" i="1" s="1"/>
  <c r="R8" i="1" s="1"/>
  <c r="I15" i="1"/>
  <c r="E15" i="1"/>
  <c r="J8" i="1" l="1"/>
  <c r="K8" i="1" s="1"/>
  <c r="H8" i="1"/>
  <c r="E16" i="1"/>
  <c r="I16" i="1"/>
  <c r="N7" i="1"/>
  <c r="O7" i="1" s="1"/>
  <c r="M7" i="1"/>
  <c r="P7" i="1" l="1"/>
  <c r="Q7" i="1"/>
  <c r="I17" i="1"/>
  <c r="E17" i="1"/>
  <c r="D9" i="1"/>
  <c r="L8" i="1"/>
  <c r="F9" i="1"/>
  <c r="G9" i="1" s="1"/>
  <c r="H9" i="1" l="1"/>
  <c r="R9" i="1"/>
  <c r="N8" i="1"/>
  <c r="O8" i="1" s="1"/>
  <c r="M8" i="1"/>
  <c r="J9" i="1"/>
  <c r="K9" i="1" s="1"/>
  <c r="E18" i="1"/>
  <c r="I18" i="1"/>
  <c r="P8" i="1" l="1"/>
  <c r="Q8" i="1"/>
  <c r="D10" i="1"/>
  <c r="L9" i="1"/>
  <c r="F10" i="1"/>
  <c r="G10" i="1" s="1"/>
  <c r="R10" i="1" s="1"/>
  <c r="N9" i="1" l="1"/>
  <c r="O9" i="1" s="1"/>
  <c r="M9" i="1"/>
  <c r="J10" i="1"/>
  <c r="K10" i="1" s="1"/>
  <c r="H10" i="1"/>
  <c r="D11" i="1" l="1"/>
  <c r="L10" i="1"/>
  <c r="F11" i="1"/>
  <c r="G11" i="1" s="1"/>
  <c r="R11" i="1" s="1"/>
  <c r="P9" i="1"/>
  <c r="Q9" i="1"/>
  <c r="J11" i="1" l="1"/>
  <c r="K11" i="1" s="1"/>
  <c r="N10" i="1"/>
  <c r="O10" i="1" s="1"/>
  <c r="M10" i="1"/>
  <c r="H11" i="1"/>
  <c r="P10" i="1" l="1"/>
  <c r="Q10" i="1"/>
  <c r="D12" i="1"/>
  <c r="L11" i="1"/>
  <c r="F12" i="1"/>
  <c r="G12" i="1" s="1"/>
  <c r="R12" i="1" s="1"/>
  <c r="N11" i="1" l="1"/>
  <c r="O11" i="1" s="1"/>
  <c r="M11" i="1"/>
  <c r="J12" i="1"/>
  <c r="K12" i="1" s="1"/>
  <c r="H12" i="1"/>
  <c r="D13" i="1" l="1"/>
  <c r="L12" i="1"/>
  <c r="F13" i="1"/>
  <c r="G13" i="1" s="1"/>
  <c r="R13" i="1" s="1"/>
  <c r="P11" i="1"/>
  <c r="Q11" i="1"/>
  <c r="J13" i="1" l="1"/>
  <c r="K13" i="1" s="1"/>
  <c r="N12" i="1"/>
  <c r="O12" i="1" s="1"/>
  <c r="M12" i="1"/>
  <c r="H13" i="1"/>
  <c r="P12" i="1" l="1"/>
  <c r="Q12" i="1"/>
  <c r="D14" i="1"/>
  <c r="L13" i="1"/>
  <c r="F14" i="1"/>
  <c r="G14" i="1" s="1"/>
  <c r="R14" i="1" s="1"/>
  <c r="J14" i="1" l="1"/>
  <c r="K14" i="1" s="1"/>
  <c r="H14" i="1"/>
  <c r="N13" i="1"/>
  <c r="O13" i="1" s="1"/>
  <c r="M13" i="1"/>
  <c r="P13" i="1" l="1"/>
  <c r="Q13" i="1"/>
  <c r="L14" i="1"/>
  <c r="D15" i="1"/>
  <c r="F15" i="1"/>
  <c r="G15" i="1" s="1"/>
  <c r="R15" i="1" s="1"/>
  <c r="J15" i="1" l="1"/>
  <c r="K15" i="1" s="1"/>
  <c r="N14" i="1"/>
  <c r="O14" i="1" s="1"/>
  <c r="M14" i="1"/>
  <c r="H15" i="1"/>
  <c r="P14" i="1" l="1"/>
  <c r="Q14" i="1"/>
  <c r="L15" i="1"/>
  <c r="D16" i="1"/>
  <c r="F16" i="1"/>
  <c r="G16" i="1" s="1"/>
  <c r="R16" i="1" s="1"/>
  <c r="J16" i="1" l="1"/>
  <c r="K16" i="1" s="1"/>
  <c r="H16" i="1"/>
  <c r="M15" i="1"/>
  <c r="N15" i="1"/>
  <c r="O15" i="1" s="1"/>
  <c r="Q15" i="1" l="1"/>
  <c r="P15" i="1"/>
  <c r="D17" i="1"/>
  <c r="L16" i="1"/>
  <c r="F17" i="1"/>
  <c r="G17" i="1" s="1"/>
  <c r="R17" i="1" s="1"/>
  <c r="J17" i="1" l="1"/>
  <c r="K17" i="1" s="1"/>
  <c r="N16" i="1"/>
  <c r="O16" i="1" s="1"/>
  <c r="M16" i="1"/>
  <c r="H17" i="1"/>
  <c r="P16" i="1" l="1"/>
  <c r="Q16" i="1"/>
  <c r="D18" i="1"/>
  <c r="L17" i="1"/>
  <c r="F18" i="1"/>
  <c r="G18" i="1" s="1"/>
  <c r="J18" i="1" l="1"/>
  <c r="K18" i="1" s="1"/>
  <c r="H18" i="1"/>
  <c r="N17" i="1"/>
  <c r="O17" i="1" s="1"/>
  <c r="M17" i="1"/>
  <c r="Q17" i="1" l="1"/>
  <c r="P17" i="1"/>
  <c r="L18" i="1"/>
  <c r="R18" i="1" s="1"/>
  <c r="M18" i="1" l="1"/>
  <c r="N18" i="1"/>
  <c r="O18" i="1" s="1"/>
  <c r="P18" i="1" l="1"/>
  <c r="Q18" i="1"/>
  <c r="T7" i="1" l="1"/>
  <c r="T8" i="1"/>
  <c r="T10" i="1" l="1"/>
  <c r="T11" i="1" s="1"/>
  <c r="T12" i="1" l="1"/>
  <c r="T13" i="1"/>
</calcChain>
</file>

<file path=xl/sharedStrings.xml><?xml version="1.0" encoding="utf-8"?>
<sst xmlns="http://schemas.openxmlformats.org/spreadsheetml/2006/main" count="32" uniqueCount="32">
  <si>
    <t>最大回撤</t>
    <phoneticPr fontId="2" type="noConversion"/>
  </si>
  <si>
    <t>年化收益率</t>
    <phoneticPr fontId="2" type="noConversion"/>
  </si>
  <si>
    <t>月份</t>
    <phoneticPr fontId="2" type="noConversion"/>
  </si>
  <si>
    <t>收盘</t>
    <phoneticPr fontId="2" type="noConversion"/>
  </si>
  <si>
    <t>分红</t>
    <phoneticPr fontId="2" type="noConversion"/>
  </si>
  <si>
    <t>累计分红金额</t>
    <phoneticPr fontId="2" type="noConversion"/>
  </si>
  <si>
    <t>应到金额</t>
    <phoneticPr fontId="2" type="noConversion"/>
  </si>
  <si>
    <t>应投入金额</t>
    <phoneticPr fontId="2" type="noConversion"/>
  </si>
  <si>
    <t>实际投入金额</t>
    <phoneticPr fontId="2" type="noConversion"/>
  </si>
  <si>
    <t>实际累计投入金额</t>
    <phoneticPr fontId="2" type="noConversion"/>
  </si>
  <si>
    <t>累计理论投入</t>
    <phoneticPr fontId="2" type="noConversion"/>
  </si>
  <si>
    <t>定投份额</t>
    <phoneticPr fontId="2" type="noConversion"/>
  </si>
  <si>
    <t>累计份额</t>
    <phoneticPr fontId="2" type="noConversion"/>
  </si>
  <si>
    <t>累计价值</t>
    <phoneticPr fontId="2" type="noConversion"/>
  </si>
  <si>
    <t>累计盈利</t>
    <phoneticPr fontId="2" type="noConversion"/>
  </si>
  <si>
    <t>收益率</t>
    <phoneticPr fontId="2" type="noConversion"/>
  </si>
  <si>
    <t>净值</t>
    <phoneticPr fontId="2" type="noConversion"/>
  </si>
  <si>
    <t>月收益率</t>
    <phoneticPr fontId="2" type="noConversion"/>
  </si>
  <si>
    <t>最大回撤</t>
    <phoneticPr fontId="2" type="noConversion"/>
  </si>
  <si>
    <t>现金流</t>
    <phoneticPr fontId="2" type="noConversion"/>
  </si>
  <si>
    <t>项目</t>
    <phoneticPr fontId="2" type="noConversion"/>
  </si>
  <si>
    <t>数据</t>
    <phoneticPr fontId="2" type="noConversion"/>
  </si>
  <si>
    <t>定投金额</t>
    <phoneticPr fontId="2" type="noConversion"/>
  </si>
  <si>
    <t>月增长率</t>
    <phoneticPr fontId="2" type="noConversion"/>
  </si>
  <si>
    <t>定投上限</t>
    <phoneticPr fontId="2" type="noConversion"/>
  </si>
  <si>
    <t>定投下限</t>
    <phoneticPr fontId="2" type="noConversion"/>
  </si>
  <si>
    <t>累计投入</t>
    <phoneticPr fontId="2" type="noConversion"/>
  </si>
  <si>
    <t>累计次数</t>
    <phoneticPr fontId="2" type="noConversion"/>
  </si>
  <si>
    <t>累计盈利</t>
    <phoneticPr fontId="2" type="noConversion"/>
  </si>
  <si>
    <t>总收益率</t>
    <phoneticPr fontId="2" type="noConversion"/>
  </si>
  <si>
    <t>夏普比例</t>
    <phoneticPr fontId="4" type="noConversion"/>
  </si>
  <si>
    <t>锐智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</si>
</sst>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_ "/>
    <numFmt numFmtId="177" formatCode="0.00_ "/>
    <numFmt numFmtId="178" formatCode="0_ "/>
    <numFmt numFmtId="179" formatCode="0.000_);[Red]\(0.000\)"/>
    <numFmt numFmtId="180" formatCode="0.00_);[Red]\(0.00\)"/>
  </numFmts>
  <fonts count="5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0" fontId="0" fillId="0" borderId="0" xfId="0" applyNumberFormat="1">
      <alignment vertical="center"/>
    </xf>
    <xf numFmtId="14" fontId="0" fillId="0" borderId="0" xfId="0" applyNumberFormat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176" fontId="0" fillId="0" borderId="0" xfId="0" applyNumberFormat="1">
      <alignment vertical="center"/>
    </xf>
    <xf numFmtId="14" fontId="0" fillId="0" borderId="1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7" fontId="0" fillId="0" borderId="1" xfId="0" applyNumberFormat="1" applyBorder="1">
      <alignment vertical="center"/>
    </xf>
    <xf numFmtId="177" fontId="0" fillId="0" borderId="1" xfId="0" applyNumberFormat="1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9" fontId="0" fillId="0" borderId="1" xfId="0" applyNumberFormat="1" applyBorder="1" applyAlignment="1">
      <alignment horizontal="center" vertical="center" wrapText="1"/>
    </xf>
    <xf numFmtId="180" fontId="0" fillId="0" borderId="1" xfId="0" applyNumberFormat="1" applyBorder="1" applyAlignment="1">
      <alignment horizontal="center" vertical="center" wrapText="1"/>
    </xf>
    <xf numFmtId="14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8" fontId="0" fillId="0" borderId="1" xfId="0" applyNumberFormat="1" applyBorder="1">
      <alignment vertical="center"/>
    </xf>
    <xf numFmtId="10" fontId="0" fillId="0" borderId="1" xfId="1" applyNumberFormat="1" applyFont="1" applyBorder="1">
      <alignment vertical="center"/>
    </xf>
    <xf numFmtId="179" fontId="0" fillId="0" borderId="1" xfId="1" applyNumberFormat="1" applyFont="1" applyBorder="1">
      <alignment vertical="center"/>
    </xf>
    <xf numFmtId="180" fontId="0" fillId="0" borderId="1" xfId="1" applyNumberFormat="1" applyFont="1" applyBorder="1">
      <alignment vertical="center"/>
    </xf>
    <xf numFmtId="177" fontId="0" fillId="2" borderId="1" xfId="0" applyNumberFormat="1" applyFill="1" applyBorder="1">
      <alignment vertical="center"/>
    </xf>
    <xf numFmtId="14" fontId="3" fillId="2" borderId="1" xfId="0" applyNumberFormat="1" applyFont="1" applyFill="1" applyBorder="1">
      <alignment vertical="center"/>
    </xf>
    <xf numFmtId="0" fontId="0" fillId="0" borderId="1" xfId="0" applyBorder="1">
      <alignment vertical="center"/>
    </xf>
    <xf numFmtId="10" fontId="0" fillId="2" borderId="1" xfId="1" applyNumberFormat="1" applyFont="1" applyFill="1" applyBorder="1">
      <alignment vertical="center"/>
    </xf>
    <xf numFmtId="0" fontId="3" fillId="0" borderId="1" xfId="0" applyFont="1" applyBorder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tabSelected="1" workbookViewId="0">
      <selection activeCell="H17" sqref="H17"/>
    </sheetView>
  </sheetViews>
  <sheetFormatPr defaultRowHeight="13.5" x14ac:dyDescent="0.15"/>
  <cols>
    <col min="1" max="1" width="11" style="6" customWidth="1"/>
    <col min="2" max="2" width="7" style="9" customWidth="1"/>
    <col min="3" max="3" width="6" style="2" customWidth="1"/>
    <col min="4" max="4" width="8.875" style="2" customWidth="1"/>
    <col min="5" max="5" width="7.125" style="3" customWidth="1"/>
    <col min="6" max="6" width="8.125" style="3" customWidth="1"/>
    <col min="7" max="7" width="8" style="3" customWidth="1"/>
    <col min="8" max="9" width="7.875" style="3" customWidth="1"/>
    <col min="10" max="13" width="7.5" style="3" customWidth="1"/>
    <col min="14" max="14" width="8.25" customWidth="1"/>
    <col min="15" max="15" width="8.25" style="7" customWidth="1"/>
    <col min="16" max="16" width="7.875" style="8" customWidth="1"/>
    <col min="17" max="17" width="7.5" style="2" customWidth="1"/>
    <col min="18" max="18" width="8" style="3" customWidth="1"/>
    <col min="19" max="19" width="10.125" customWidth="1"/>
    <col min="20" max="20" width="11.625" style="2" bestFit="1" customWidth="1"/>
  </cols>
  <sheetData>
    <row r="1" spans="1:21" s="1" customFormat="1" ht="40.5" x14ac:dyDescent="0.15">
      <c r="A1" s="10" t="s">
        <v>2</v>
      </c>
      <c r="B1" s="11" t="s">
        <v>3</v>
      </c>
      <c r="C1" s="12" t="s">
        <v>4</v>
      </c>
      <c r="D1" s="13" t="s">
        <v>5</v>
      </c>
      <c r="E1" s="14" t="s">
        <v>6</v>
      </c>
      <c r="F1" s="14" t="s">
        <v>7</v>
      </c>
      <c r="G1" s="14" t="s">
        <v>8</v>
      </c>
      <c r="H1" s="14" t="s">
        <v>9</v>
      </c>
      <c r="I1" s="14" t="s">
        <v>10</v>
      </c>
      <c r="J1" s="14" t="s">
        <v>11</v>
      </c>
      <c r="K1" s="14" t="s">
        <v>12</v>
      </c>
      <c r="L1" s="14" t="s">
        <v>13</v>
      </c>
      <c r="M1" s="14" t="s">
        <v>14</v>
      </c>
      <c r="N1" s="15" t="s">
        <v>15</v>
      </c>
      <c r="O1" s="16" t="s">
        <v>16</v>
      </c>
      <c r="P1" s="17" t="s">
        <v>17</v>
      </c>
      <c r="Q1" s="13" t="s">
        <v>18</v>
      </c>
      <c r="R1" s="14" t="s">
        <v>19</v>
      </c>
      <c r="S1" s="15" t="s">
        <v>20</v>
      </c>
      <c r="T1" s="13" t="s">
        <v>21</v>
      </c>
    </row>
    <row r="2" spans="1:21" x14ac:dyDescent="0.15">
      <c r="A2" s="18">
        <v>42277</v>
      </c>
      <c r="B2" s="19">
        <v>0.9</v>
      </c>
      <c r="C2" s="12"/>
      <c r="D2" s="12">
        <v>0</v>
      </c>
      <c r="E2" s="20">
        <v>0</v>
      </c>
      <c r="F2" s="20">
        <f>T2</f>
        <v>1000</v>
      </c>
      <c r="G2" s="20">
        <f t="shared" ref="G2:G18" si="0">IF(F2&gt;T$4,T$4,IF(F2&lt;T$5,T$5,F2))</f>
        <v>1000</v>
      </c>
      <c r="H2" s="20">
        <f>G2</f>
        <v>1000</v>
      </c>
      <c r="I2" s="20">
        <f>T2</f>
        <v>1000</v>
      </c>
      <c r="J2" s="20">
        <f t="shared" ref="J2:J18" si="1">G2/B2</f>
        <v>1111.1111111111111</v>
      </c>
      <c r="K2" s="20">
        <f>J2</f>
        <v>1111.1111111111111</v>
      </c>
      <c r="L2" s="20">
        <f>K2*B2+D2</f>
        <v>1000</v>
      </c>
      <c r="M2" s="20">
        <f>L2-H2</f>
        <v>0</v>
      </c>
      <c r="N2" s="21">
        <f>L2/I2-1</f>
        <v>0</v>
      </c>
      <c r="O2" s="22">
        <f>1+N2</f>
        <v>1</v>
      </c>
      <c r="P2" s="23"/>
      <c r="Q2" s="12"/>
      <c r="R2" s="20">
        <f t="shared" ref="R2:R18" si="2">IF(ROW()&lt;=T$9,G2,-L2+G2)</f>
        <v>1000</v>
      </c>
      <c r="S2" s="26" t="s">
        <v>22</v>
      </c>
      <c r="T2" s="24">
        <v>1000</v>
      </c>
    </row>
    <row r="3" spans="1:21" x14ac:dyDescent="0.15">
      <c r="A3" s="18">
        <v>42307</v>
      </c>
      <c r="B3" s="19">
        <v>0.89700000000000002</v>
      </c>
      <c r="C3" s="12"/>
      <c r="D3" s="12">
        <f>C3*K2+D2</f>
        <v>0</v>
      </c>
      <c r="E3" s="20">
        <f t="shared" ref="E3:E18" si="3">I2*(1+T$3)</f>
        <v>1000</v>
      </c>
      <c r="F3" s="20">
        <f t="shared" ref="F3:F18" si="4">E3-K2*B3+T$2</f>
        <v>1003.3333333333334</v>
      </c>
      <c r="G3" s="20">
        <f t="shared" si="0"/>
        <v>1000</v>
      </c>
      <c r="H3" s="20">
        <f>H2+G3</f>
        <v>2000</v>
      </c>
      <c r="I3" s="20">
        <f t="shared" ref="I3:I18" si="5">I2+T$2</f>
        <v>2000</v>
      </c>
      <c r="J3" s="20">
        <f t="shared" si="1"/>
        <v>1114.8272017837235</v>
      </c>
      <c r="K3" s="20">
        <f>K2+J3</f>
        <v>2225.9383128948348</v>
      </c>
      <c r="L3" s="20">
        <f t="shared" ref="L3:L18" si="6">K3*B3+D3</f>
        <v>1996.6666666666667</v>
      </c>
      <c r="M3" s="20">
        <f t="shared" ref="M3:M18" si="7">L3-H3</f>
        <v>-3.3333333333332575</v>
      </c>
      <c r="N3" s="21">
        <f>L3/H3-1</f>
        <v>-1.6666666666665941E-3</v>
      </c>
      <c r="O3" s="22">
        <f t="shared" ref="O3:O18" si="8">1+N3</f>
        <v>0.99833333333333341</v>
      </c>
      <c r="P3" s="21">
        <f>O3/O2-1</f>
        <v>-1.6666666666665941E-3</v>
      </c>
      <c r="Q3" s="21">
        <f>IFERROR(1-O3/MAX(O$2:O3),"")</f>
        <v>1.6666666666665941E-3</v>
      </c>
      <c r="R3" s="20">
        <f t="shared" si="2"/>
        <v>1000</v>
      </c>
      <c r="S3" s="26" t="s">
        <v>23</v>
      </c>
      <c r="T3" s="27">
        <v>0</v>
      </c>
    </row>
    <row r="4" spans="1:21" x14ac:dyDescent="0.15">
      <c r="A4" s="18">
        <v>42338</v>
      </c>
      <c r="B4" s="19">
        <v>1.0780000000000001</v>
      </c>
      <c r="C4" s="12"/>
      <c r="D4" s="12">
        <f t="shared" ref="D4:D18" si="9">C4*K3+D3</f>
        <v>0</v>
      </c>
      <c r="E4" s="20">
        <f t="shared" si="3"/>
        <v>2000</v>
      </c>
      <c r="F4" s="20">
        <f t="shared" si="4"/>
        <v>600.43849869936776</v>
      </c>
      <c r="G4" s="20">
        <f t="shared" si="0"/>
        <v>1000</v>
      </c>
      <c r="H4" s="20">
        <f t="shared" ref="H4:H18" si="10">H3+G4</f>
        <v>3000</v>
      </c>
      <c r="I4" s="20">
        <f t="shared" si="5"/>
        <v>3000</v>
      </c>
      <c r="J4" s="20">
        <f t="shared" si="1"/>
        <v>927.64378478664185</v>
      </c>
      <c r="K4" s="20">
        <f t="shared" ref="K4:K18" si="11">K3+J4</f>
        <v>3153.5820976814766</v>
      </c>
      <c r="L4" s="20">
        <f t="shared" si="6"/>
        <v>3399.5615013006322</v>
      </c>
      <c r="M4" s="20">
        <f t="shared" si="7"/>
        <v>399.56150130063224</v>
      </c>
      <c r="N4" s="21">
        <f t="shared" ref="N4:N18" si="12">L4/H4-1</f>
        <v>0.13318716710021072</v>
      </c>
      <c r="O4" s="22">
        <f t="shared" si="8"/>
        <v>1.1331871671002107</v>
      </c>
      <c r="P4" s="21">
        <f t="shared" ref="P4:P18" si="13">O4/O3-1</f>
        <v>0.13507896537583708</v>
      </c>
      <c r="Q4" s="21">
        <f>IFERROR(1-O4/MAX(O$2:O4),"")</f>
        <v>0</v>
      </c>
      <c r="R4" s="20">
        <f t="shared" si="2"/>
        <v>1000</v>
      </c>
      <c r="S4" s="26" t="s">
        <v>24</v>
      </c>
      <c r="T4" s="24">
        <v>1000</v>
      </c>
    </row>
    <row r="5" spans="1:21" x14ac:dyDescent="0.15">
      <c r="A5" s="18">
        <v>42369</v>
      </c>
      <c r="B5" s="19">
        <v>1.2</v>
      </c>
      <c r="C5" s="12"/>
      <c r="D5" s="12">
        <f t="shared" si="9"/>
        <v>0</v>
      </c>
      <c r="E5" s="20">
        <f t="shared" si="3"/>
        <v>3000</v>
      </c>
      <c r="F5" s="20">
        <f t="shared" si="4"/>
        <v>215.70148278222814</v>
      </c>
      <c r="G5" s="20">
        <f t="shared" si="0"/>
        <v>1000</v>
      </c>
      <c r="H5" s="20">
        <f t="shared" si="10"/>
        <v>4000</v>
      </c>
      <c r="I5" s="20">
        <f t="shared" si="5"/>
        <v>4000</v>
      </c>
      <c r="J5" s="20">
        <f t="shared" si="1"/>
        <v>833.33333333333337</v>
      </c>
      <c r="K5" s="20">
        <f t="shared" si="11"/>
        <v>3986.9154310148101</v>
      </c>
      <c r="L5" s="20">
        <f t="shared" si="6"/>
        <v>4784.2985172177723</v>
      </c>
      <c r="M5" s="20">
        <f t="shared" si="7"/>
        <v>784.29851721777231</v>
      </c>
      <c r="N5" s="21">
        <f t="shared" si="12"/>
        <v>0.19607462930444308</v>
      </c>
      <c r="O5" s="22">
        <f t="shared" si="8"/>
        <v>1.1960746293044431</v>
      </c>
      <c r="P5" s="21">
        <f t="shared" si="13"/>
        <v>5.549609458176219E-2</v>
      </c>
      <c r="Q5" s="21">
        <f>IFERROR(1-O5/MAX(O$2:O5),"")</f>
        <v>0</v>
      </c>
      <c r="R5" s="20">
        <f t="shared" si="2"/>
        <v>1000</v>
      </c>
      <c r="S5" s="26" t="s">
        <v>25</v>
      </c>
      <c r="T5" s="24">
        <v>1000</v>
      </c>
    </row>
    <row r="6" spans="1:21" x14ac:dyDescent="0.15">
      <c r="A6" s="18">
        <v>42398</v>
      </c>
      <c r="B6" s="19">
        <v>1.0229999999999999</v>
      </c>
      <c r="C6" s="12"/>
      <c r="D6" s="12">
        <f t="shared" si="9"/>
        <v>0</v>
      </c>
      <c r="E6" s="20">
        <f t="shared" si="3"/>
        <v>4000</v>
      </c>
      <c r="F6" s="20">
        <f t="shared" si="4"/>
        <v>921.38551407184968</v>
      </c>
      <c r="G6" s="20">
        <f t="shared" si="0"/>
        <v>1000</v>
      </c>
      <c r="H6" s="20">
        <f t="shared" si="10"/>
        <v>5000</v>
      </c>
      <c r="I6" s="20">
        <f t="shared" si="5"/>
        <v>5000</v>
      </c>
      <c r="J6" s="20">
        <f t="shared" si="1"/>
        <v>977.51710654936471</v>
      </c>
      <c r="K6" s="20">
        <f t="shared" si="11"/>
        <v>4964.4325375641747</v>
      </c>
      <c r="L6" s="20">
        <f t="shared" si="6"/>
        <v>5078.6144859281503</v>
      </c>
      <c r="M6" s="20">
        <f t="shared" si="7"/>
        <v>78.614485928150316</v>
      </c>
      <c r="N6" s="21">
        <f t="shared" si="12"/>
        <v>1.5722897185630025E-2</v>
      </c>
      <c r="O6" s="22">
        <f t="shared" si="8"/>
        <v>1.01572289718563</v>
      </c>
      <c r="P6" s="21">
        <f t="shared" si="13"/>
        <v>-0.1507863537107994</v>
      </c>
      <c r="Q6" s="21">
        <f>IFERROR(1-O6/MAX(O$2:O6),"")</f>
        <v>0.1507863537107994</v>
      </c>
      <c r="R6" s="20">
        <f t="shared" si="2"/>
        <v>1000</v>
      </c>
      <c r="S6" s="26"/>
      <c r="T6" s="12"/>
    </row>
    <row r="7" spans="1:21" x14ac:dyDescent="0.15">
      <c r="A7" s="18">
        <v>42429</v>
      </c>
      <c r="B7" s="19">
        <v>1.014</v>
      </c>
      <c r="C7" s="12"/>
      <c r="D7" s="12">
        <f t="shared" si="9"/>
        <v>0</v>
      </c>
      <c r="E7" s="20">
        <f t="shared" si="3"/>
        <v>5000</v>
      </c>
      <c r="F7" s="20">
        <f t="shared" si="4"/>
        <v>966.06540690992642</v>
      </c>
      <c r="G7" s="20">
        <f t="shared" si="0"/>
        <v>1000</v>
      </c>
      <c r="H7" s="20">
        <f t="shared" si="10"/>
        <v>6000</v>
      </c>
      <c r="I7" s="20">
        <f t="shared" si="5"/>
        <v>6000</v>
      </c>
      <c r="J7" s="20">
        <f t="shared" si="1"/>
        <v>986.19329388560152</v>
      </c>
      <c r="K7" s="20">
        <f t="shared" si="11"/>
        <v>5950.6258314497763</v>
      </c>
      <c r="L7" s="20">
        <f t="shared" si="6"/>
        <v>6033.9345930900736</v>
      </c>
      <c r="M7" s="20">
        <f t="shared" si="7"/>
        <v>33.934593090073577</v>
      </c>
      <c r="N7" s="21">
        <f t="shared" si="12"/>
        <v>5.6557655150122343E-3</v>
      </c>
      <c r="O7" s="22">
        <f t="shared" si="8"/>
        <v>1.0056557655150122</v>
      </c>
      <c r="P7" s="21">
        <f t="shared" si="13"/>
        <v>-9.9112973612309752E-3</v>
      </c>
      <c r="Q7" s="21">
        <f>IFERROR(1-O7/MAX(O$2:O7),"")</f>
        <v>0.15920316268238688</v>
      </c>
      <c r="R7" s="20">
        <f t="shared" si="2"/>
        <v>1000</v>
      </c>
      <c r="S7" s="26" t="s">
        <v>1</v>
      </c>
      <c r="T7" s="21">
        <f ca="1">XIRR(OFFSET(R2,0,0,T9,1),OFFSET(A2,0,0,T9,1))</f>
        <v>0.13608062863349918</v>
      </c>
      <c r="U7" s="5"/>
    </row>
    <row r="8" spans="1:21" x14ac:dyDescent="0.15">
      <c r="A8" s="18">
        <v>42460</v>
      </c>
      <c r="B8" s="19">
        <v>1.08</v>
      </c>
      <c r="C8" s="12"/>
      <c r="D8" s="12">
        <f t="shared" si="9"/>
        <v>0</v>
      </c>
      <c r="E8" s="20">
        <f t="shared" si="3"/>
        <v>6000</v>
      </c>
      <c r="F8" s="20">
        <f t="shared" si="4"/>
        <v>573.32410203424115</v>
      </c>
      <c r="G8" s="20">
        <f t="shared" si="0"/>
        <v>1000</v>
      </c>
      <c r="H8" s="20">
        <f t="shared" si="10"/>
        <v>7000</v>
      </c>
      <c r="I8" s="20">
        <f t="shared" si="5"/>
        <v>7000</v>
      </c>
      <c r="J8" s="20">
        <f t="shared" si="1"/>
        <v>925.92592592592587</v>
      </c>
      <c r="K8" s="20">
        <f t="shared" si="11"/>
        <v>6876.5517573757024</v>
      </c>
      <c r="L8" s="20">
        <f t="shared" si="6"/>
        <v>7426.6758979657588</v>
      </c>
      <c r="M8" s="20">
        <f t="shared" si="7"/>
        <v>426.67589796575885</v>
      </c>
      <c r="N8" s="21">
        <f t="shared" si="12"/>
        <v>6.0953699709394016E-2</v>
      </c>
      <c r="O8" s="22">
        <f t="shared" si="8"/>
        <v>1.060953699709394</v>
      </c>
      <c r="P8" s="21">
        <f t="shared" si="13"/>
        <v>5.49869409499808E-2</v>
      </c>
      <c r="Q8" s="21">
        <f>IFERROR(1-O8/MAX(O$2:O8),"")</f>
        <v>0.1129703166378726</v>
      </c>
      <c r="R8" s="20">
        <f t="shared" si="2"/>
        <v>1000</v>
      </c>
      <c r="S8" s="26" t="s">
        <v>26</v>
      </c>
      <c r="T8" s="12">
        <f ca="1">OFFSET(H2,T9-1,0,1,1)</f>
        <v>17000</v>
      </c>
    </row>
    <row r="9" spans="1:21" x14ac:dyDescent="0.15">
      <c r="A9" s="18">
        <v>42489</v>
      </c>
      <c r="B9" s="19">
        <v>1.1870000000000001</v>
      </c>
      <c r="C9" s="12"/>
      <c r="D9" s="12">
        <f t="shared" si="9"/>
        <v>0</v>
      </c>
      <c r="E9" s="20">
        <f t="shared" si="3"/>
        <v>7000</v>
      </c>
      <c r="F9" s="20">
        <f t="shared" si="4"/>
        <v>-162.46693600495928</v>
      </c>
      <c r="G9" s="20">
        <f t="shared" si="0"/>
        <v>1000</v>
      </c>
      <c r="H9" s="20">
        <f t="shared" si="10"/>
        <v>8000</v>
      </c>
      <c r="I9" s="20">
        <f t="shared" si="5"/>
        <v>8000</v>
      </c>
      <c r="J9" s="20">
        <f t="shared" si="1"/>
        <v>842.45998315080033</v>
      </c>
      <c r="K9" s="20">
        <f t="shared" si="11"/>
        <v>7719.0117405265028</v>
      </c>
      <c r="L9" s="20">
        <f t="shared" si="6"/>
        <v>9162.4669360049593</v>
      </c>
      <c r="M9" s="20">
        <f t="shared" si="7"/>
        <v>1162.4669360049593</v>
      </c>
      <c r="N9" s="21">
        <f t="shared" si="12"/>
        <v>0.14530836700061989</v>
      </c>
      <c r="O9" s="22">
        <f t="shared" si="8"/>
        <v>1.1453083670006199</v>
      </c>
      <c r="P9" s="21">
        <f t="shared" si="13"/>
        <v>7.9508339821362073E-2</v>
      </c>
      <c r="Q9" s="21">
        <f>IFERROR(1-O9/MAX(O$2:O9),"")</f>
        <v>4.2444059141481416E-2</v>
      </c>
      <c r="R9" s="20">
        <f t="shared" si="2"/>
        <v>1000</v>
      </c>
      <c r="S9" s="26" t="s">
        <v>27</v>
      </c>
      <c r="T9" s="12">
        <f>COUNTIF(B:B,"&gt;0")</f>
        <v>17</v>
      </c>
    </row>
    <row r="10" spans="1:21" x14ac:dyDescent="0.15">
      <c r="A10" s="18">
        <v>42521</v>
      </c>
      <c r="B10" s="19">
        <v>1.262</v>
      </c>
      <c r="C10" s="12"/>
      <c r="D10" s="12">
        <f t="shared" si="9"/>
        <v>0</v>
      </c>
      <c r="E10" s="20">
        <f t="shared" si="3"/>
        <v>8000</v>
      </c>
      <c r="F10" s="20">
        <f t="shared" si="4"/>
        <v>-741.39281654444676</v>
      </c>
      <c r="G10" s="20">
        <f t="shared" si="0"/>
        <v>1000</v>
      </c>
      <c r="H10" s="20">
        <f t="shared" si="10"/>
        <v>9000</v>
      </c>
      <c r="I10" s="20">
        <f t="shared" si="5"/>
        <v>9000</v>
      </c>
      <c r="J10" s="20">
        <f t="shared" si="1"/>
        <v>792.3930269413629</v>
      </c>
      <c r="K10" s="20">
        <f t="shared" si="11"/>
        <v>8511.4047674678659</v>
      </c>
      <c r="L10" s="20">
        <f t="shared" si="6"/>
        <v>10741.392816544447</v>
      </c>
      <c r="M10" s="20">
        <f t="shared" si="7"/>
        <v>1741.3928165444468</v>
      </c>
      <c r="N10" s="21">
        <f t="shared" si="12"/>
        <v>0.19348809072716078</v>
      </c>
      <c r="O10" s="22">
        <f t="shared" si="8"/>
        <v>1.1934880907271608</v>
      </c>
      <c r="P10" s="21">
        <f t="shared" si="13"/>
        <v>4.2067032001797067E-2</v>
      </c>
      <c r="Q10" s="21">
        <f>IFERROR(1-O10/MAX(O$2:O10),"")</f>
        <v>2.1625227338752939E-3</v>
      </c>
      <c r="R10" s="20">
        <f t="shared" si="2"/>
        <v>1000</v>
      </c>
      <c r="S10" s="26" t="s">
        <v>28</v>
      </c>
      <c r="T10" s="12">
        <f ca="1">OFFSET(M2,T9-1,0,1,1)</f>
        <v>1516.218514881537</v>
      </c>
    </row>
    <row r="11" spans="1:21" x14ac:dyDescent="0.15">
      <c r="A11" s="18">
        <v>42551</v>
      </c>
      <c r="B11" s="19">
        <v>1.4379999999999999</v>
      </c>
      <c r="C11" s="12"/>
      <c r="D11" s="12">
        <f t="shared" si="9"/>
        <v>0</v>
      </c>
      <c r="E11" s="20">
        <f t="shared" si="3"/>
        <v>9000</v>
      </c>
      <c r="F11" s="20">
        <f t="shared" si="4"/>
        <v>-2239.4000556187912</v>
      </c>
      <c r="G11" s="20">
        <f t="shared" si="0"/>
        <v>1000</v>
      </c>
      <c r="H11" s="20">
        <f t="shared" si="10"/>
        <v>10000</v>
      </c>
      <c r="I11" s="20">
        <f t="shared" si="5"/>
        <v>10000</v>
      </c>
      <c r="J11" s="20">
        <f t="shared" si="1"/>
        <v>695.4102920723227</v>
      </c>
      <c r="K11" s="20">
        <f t="shared" si="11"/>
        <v>9206.8150595401894</v>
      </c>
      <c r="L11" s="20">
        <f t="shared" si="6"/>
        <v>13239.400055618791</v>
      </c>
      <c r="M11" s="20">
        <f t="shared" si="7"/>
        <v>3239.4000556187912</v>
      </c>
      <c r="N11" s="21">
        <f t="shared" si="12"/>
        <v>0.32394000556187907</v>
      </c>
      <c r="O11" s="22">
        <f t="shared" si="8"/>
        <v>1.3239400055618791</v>
      </c>
      <c r="P11" s="21">
        <f t="shared" si="13"/>
        <v>0.10930307210291246</v>
      </c>
      <c r="Q11" s="21">
        <f>IFERROR(1-O11/MAX(O$2:O11),"")</f>
        <v>0</v>
      </c>
      <c r="R11" s="20">
        <f t="shared" si="2"/>
        <v>1000</v>
      </c>
      <c r="S11" s="26" t="s">
        <v>29</v>
      </c>
      <c r="T11" s="21">
        <f ca="1">T10/T8</f>
        <v>8.9189324404796294E-2</v>
      </c>
    </row>
    <row r="12" spans="1:21" x14ac:dyDescent="0.15">
      <c r="A12" s="18">
        <v>42580</v>
      </c>
      <c r="B12" s="19">
        <v>1.4139999999999999</v>
      </c>
      <c r="C12" s="12"/>
      <c r="D12" s="12">
        <f t="shared" si="9"/>
        <v>0</v>
      </c>
      <c r="E12" s="20">
        <f t="shared" si="3"/>
        <v>10000</v>
      </c>
      <c r="F12" s="20">
        <f t="shared" si="4"/>
        <v>-2018.4364941898275</v>
      </c>
      <c r="G12" s="20">
        <f t="shared" si="0"/>
        <v>1000</v>
      </c>
      <c r="H12" s="20">
        <f t="shared" si="10"/>
        <v>11000</v>
      </c>
      <c r="I12" s="20">
        <f t="shared" si="5"/>
        <v>11000</v>
      </c>
      <c r="J12" s="20">
        <f t="shared" si="1"/>
        <v>707.21357850070729</v>
      </c>
      <c r="K12" s="20">
        <f t="shared" si="11"/>
        <v>9914.0286380408961</v>
      </c>
      <c r="L12" s="20">
        <f t="shared" si="6"/>
        <v>14018.436494189826</v>
      </c>
      <c r="M12" s="20">
        <f t="shared" si="7"/>
        <v>3018.4364941898257</v>
      </c>
      <c r="N12" s="21">
        <f t="shared" si="12"/>
        <v>0.27440331765362047</v>
      </c>
      <c r="O12" s="22">
        <f t="shared" si="8"/>
        <v>1.2744033176536205</v>
      </c>
      <c r="P12" s="21">
        <f t="shared" si="13"/>
        <v>-3.7416112286172143E-2</v>
      </c>
      <c r="Q12" s="21">
        <f>IFERROR(1-O12/MAX(O$2:O12),"")</f>
        <v>3.7416112286172143E-2</v>
      </c>
      <c r="R12" s="20">
        <f t="shared" si="2"/>
        <v>1000</v>
      </c>
      <c r="S12" s="26" t="s">
        <v>0</v>
      </c>
      <c r="T12" s="21">
        <f>MAX(Q:Q)</f>
        <v>0.17731217439679581</v>
      </c>
    </row>
    <row r="13" spans="1:21" x14ac:dyDescent="0.15">
      <c r="A13" s="18">
        <v>42613</v>
      </c>
      <c r="B13" s="19">
        <v>1.359</v>
      </c>
      <c r="C13" s="12"/>
      <c r="D13" s="12">
        <f t="shared" si="9"/>
        <v>0</v>
      </c>
      <c r="E13" s="20">
        <f t="shared" si="3"/>
        <v>11000</v>
      </c>
      <c r="F13" s="20">
        <f t="shared" si="4"/>
        <v>-1473.1649190975768</v>
      </c>
      <c r="G13" s="20">
        <f t="shared" si="0"/>
        <v>1000</v>
      </c>
      <c r="H13" s="20">
        <f t="shared" si="10"/>
        <v>12000</v>
      </c>
      <c r="I13" s="20">
        <f t="shared" si="5"/>
        <v>12000</v>
      </c>
      <c r="J13" s="20">
        <f t="shared" si="1"/>
        <v>735.83517292126567</v>
      </c>
      <c r="K13" s="20">
        <f t="shared" si="11"/>
        <v>10649.863810962162</v>
      </c>
      <c r="L13" s="20">
        <f t="shared" si="6"/>
        <v>14473.164919097579</v>
      </c>
      <c r="M13" s="20">
        <f t="shared" si="7"/>
        <v>2473.1649190975786</v>
      </c>
      <c r="N13" s="21">
        <f t="shared" si="12"/>
        <v>0.20609707659146492</v>
      </c>
      <c r="O13" s="22">
        <f t="shared" si="8"/>
        <v>1.2060970765914649</v>
      </c>
      <c r="P13" s="21">
        <f t="shared" si="13"/>
        <v>-5.359860580708331E-2</v>
      </c>
      <c r="Q13" s="21">
        <f>IFERROR(1-O13/MAX(O$2:O13),"")</f>
        <v>8.900926663999531E-2</v>
      </c>
      <c r="R13" s="20">
        <f t="shared" si="2"/>
        <v>1000</v>
      </c>
      <c r="S13" s="28" t="s">
        <v>30</v>
      </c>
      <c r="T13" s="12">
        <f ca="1">(T7-4%)/STDEV(P:P)/SQRT(12)</f>
        <v>0.38435472722505881</v>
      </c>
    </row>
    <row r="14" spans="1:21" x14ac:dyDescent="0.15">
      <c r="A14" s="18">
        <v>42643</v>
      </c>
      <c r="B14" s="19">
        <v>1.2889999999999999</v>
      </c>
      <c r="C14" s="12"/>
      <c r="D14" s="12">
        <f t="shared" si="9"/>
        <v>0</v>
      </c>
      <c r="E14" s="20">
        <f t="shared" si="3"/>
        <v>12000</v>
      </c>
      <c r="F14" s="20">
        <f t="shared" si="4"/>
        <v>-727.6744523302259</v>
      </c>
      <c r="G14" s="20">
        <f t="shared" si="0"/>
        <v>1000</v>
      </c>
      <c r="H14" s="20">
        <f t="shared" si="10"/>
        <v>13000</v>
      </c>
      <c r="I14" s="20">
        <f t="shared" si="5"/>
        <v>13000</v>
      </c>
      <c r="J14" s="20">
        <f t="shared" si="1"/>
        <v>775.79519006982161</v>
      </c>
      <c r="K14" s="20">
        <f t="shared" si="11"/>
        <v>11425.659001031983</v>
      </c>
      <c r="L14" s="20">
        <f t="shared" si="6"/>
        <v>14727.674452330226</v>
      </c>
      <c r="M14" s="20">
        <f t="shared" si="7"/>
        <v>1727.6744523302259</v>
      </c>
      <c r="N14" s="21">
        <f t="shared" si="12"/>
        <v>0.13289803479463269</v>
      </c>
      <c r="O14" s="22">
        <f t="shared" si="8"/>
        <v>1.1328980347946327</v>
      </c>
      <c r="P14" s="21">
        <f t="shared" si="13"/>
        <v>-6.0690837593022851E-2</v>
      </c>
      <c r="Q14" s="21">
        <f>IFERROR(1-O14/MAX(O$2:O14),"")</f>
        <v>0.1442980572870961</v>
      </c>
      <c r="R14" s="20">
        <f t="shared" si="2"/>
        <v>1000</v>
      </c>
    </row>
    <row r="15" spans="1:21" x14ac:dyDescent="0.15">
      <c r="A15" s="18">
        <v>42674</v>
      </c>
      <c r="B15" s="19">
        <v>1.3540000000000001</v>
      </c>
      <c r="C15" s="12"/>
      <c r="D15" s="12">
        <f t="shared" si="9"/>
        <v>0</v>
      </c>
      <c r="E15" s="20">
        <f t="shared" si="3"/>
        <v>13000</v>
      </c>
      <c r="F15" s="20">
        <f t="shared" si="4"/>
        <v>-1470.3422873973068</v>
      </c>
      <c r="G15" s="20">
        <f t="shared" si="0"/>
        <v>1000</v>
      </c>
      <c r="H15" s="20">
        <f t="shared" si="10"/>
        <v>14000</v>
      </c>
      <c r="I15" s="20">
        <f t="shared" si="5"/>
        <v>14000</v>
      </c>
      <c r="J15" s="20">
        <f t="shared" si="1"/>
        <v>738.55243722304283</v>
      </c>
      <c r="K15" s="20">
        <f t="shared" si="11"/>
        <v>12164.211438255026</v>
      </c>
      <c r="L15" s="20">
        <f t="shared" si="6"/>
        <v>16470.342287397307</v>
      </c>
      <c r="M15" s="20">
        <f t="shared" si="7"/>
        <v>2470.3422873973068</v>
      </c>
      <c r="N15" s="21">
        <f t="shared" si="12"/>
        <v>0.17645302052837897</v>
      </c>
      <c r="O15" s="22">
        <f t="shared" si="8"/>
        <v>1.176453020528379</v>
      </c>
      <c r="P15" s="21">
        <f t="shared" si="13"/>
        <v>3.8445636232074198E-2</v>
      </c>
      <c r="Q15" s="21">
        <f>IFERROR(1-O15/MAX(O$2:O15),"")</f>
        <v>0.11140005167447653</v>
      </c>
      <c r="R15" s="20">
        <f t="shared" si="2"/>
        <v>1000</v>
      </c>
      <c r="T15" s="4"/>
    </row>
    <row r="16" spans="1:21" x14ac:dyDescent="0.15">
      <c r="A16" s="18">
        <v>42704</v>
      </c>
      <c r="B16" s="19">
        <v>1.306</v>
      </c>
      <c r="C16" s="12"/>
      <c r="D16" s="12">
        <f t="shared" si="9"/>
        <v>0</v>
      </c>
      <c r="E16" s="20">
        <f t="shared" si="3"/>
        <v>14000</v>
      </c>
      <c r="F16" s="20">
        <f t="shared" si="4"/>
        <v>-886.46013836106431</v>
      </c>
      <c r="G16" s="20">
        <f t="shared" si="0"/>
        <v>1000</v>
      </c>
      <c r="H16" s="20">
        <f t="shared" si="10"/>
        <v>15000</v>
      </c>
      <c r="I16" s="20">
        <f t="shared" si="5"/>
        <v>15000</v>
      </c>
      <c r="J16" s="20">
        <f t="shared" si="1"/>
        <v>765.69678407350682</v>
      </c>
      <c r="K16" s="20">
        <f t="shared" si="11"/>
        <v>12929.908222328533</v>
      </c>
      <c r="L16" s="20">
        <f t="shared" si="6"/>
        <v>16886.460138361064</v>
      </c>
      <c r="M16" s="20">
        <f t="shared" si="7"/>
        <v>1886.4601383610643</v>
      </c>
      <c r="N16" s="21">
        <f t="shared" si="12"/>
        <v>0.12576400922407105</v>
      </c>
      <c r="O16" s="22">
        <f t="shared" si="8"/>
        <v>1.125764009224071</v>
      </c>
      <c r="P16" s="21">
        <f t="shared" si="13"/>
        <v>-4.3086302997073389E-2</v>
      </c>
      <c r="Q16" s="21">
        <f>IFERROR(1-O16/MAX(O$2:O16),"")</f>
        <v>0.14968653829121381</v>
      </c>
      <c r="R16" s="20">
        <f t="shared" si="2"/>
        <v>1000</v>
      </c>
    </row>
    <row r="17" spans="1:18" x14ac:dyDescent="0.15">
      <c r="A17" s="18">
        <v>42734</v>
      </c>
      <c r="B17" s="19">
        <v>1.097</v>
      </c>
      <c r="C17" s="24">
        <v>0.19</v>
      </c>
      <c r="D17" s="12">
        <f t="shared" si="9"/>
        <v>2456.6825622424212</v>
      </c>
      <c r="E17" s="20">
        <f t="shared" si="3"/>
        <v>15000</v>
      </c>
      <c r="F17" s="20">
        <f t="shared" si="4"/>
        <v>1815.8906801056</v>
      </c>
      <c r="G17" s="20">
        <f t="shared" si="0"/>
        <v>1000</v>
      </c>
      <c r="H17" s="20">
        <f t="shared" si="10"/>
        <v>16000</v>
      </c>
      <c r="I17" s="20">
        <f t="shared" si="5"/>
        <v>16000</v>
      </c>
      <c r="J17" s="20">
        <f t="shared" si="1"/>
        <v>911.57702825888794</v>
      </c>
      <c r="K17" s="20">
        <f t="shared" si="11"/>
        <v>13841.485250587421</v>
      </c>
      <c r="L17" s="20">
        <f t="shared" si="6"/>
        <v>17640.791882136822</v>
      </c>
      <c r="M17" s="20">
        <f t="shared" si="7"/>
        <v>1640.7918821368221</v>
      </c>
      <c r="N17" s="21">
        <f t="shared" si="12"/>
        <v>0.10254949263355129</v>
      </c>
      <c r="O17" s="22">
        <f t="shared" si="8"/>
        <v>1.1025494926335513</v>
      </c>
      <c r="P17" s="21">
        <f t="shared" si="13"/>
        <v>-2.0621121656323238E-2</v>
      </c>
      <c r="Q17" s="21">
        <f>IFERROR(1-O17/MAX(O$2:O17),"")</f>
        <v>0.16722095563112005</v>
      </c>
      <c r="R17" s="20">
        <f t="shared" si="2"/>
        <v>1000</v>
      </c>
    </row>
    <row r="18" spans="1:18" x14ac:dyDescent="0.15">
      <c r="A18" s="25">
        <v>42761</v>
      </c>
      <c r="B18" s="19">
        <v>1.0880000000000001</v>
      </c>
      <c r="C18" s="12"/>
      <c r="D18" s="12">
        <f t="shared" si="9"/>
        <v>2456.6825622424212</v>
      </c>
      <c r="E18" s="20">
        <f t="shared" si="3"/>
        <v>16000</v>
      </c>
      <c r="F18" s="20">
        <f t="shared" si="4"/>
        <v>1940.4640473608852</v>
      </c>
      <c r="G18" s="20">
        <f t="shared" si="0"/>
        <v>1000</v>
      </c>
      <c r="H18" s="20">
        <f t="shared" si="10"/>
        <v>17000</v>
      </c>
      <c r="I18" s="20">
        <f t="shared" si="5"/>
        <v>17000</v>
      </c>
      <c r="J18" s="20">
        <f t="shared" si="1"/>
        <v>919.11764705882342</v>
      </c>
      <c r="K18" s="20">
        <f t="shared" si="11"/>
        <v>14760.602897646244</v>
      </c>
      <c r="L18" s="20">
        <f t="shared" si="6"/>
        <v>18516.218514881537</v>
      </c>
      <c r="M18" s="20">
        <f t="shared" si="7"/>
        <v>1516.218514881537</v>
      </c>
      <c r="N18" s="21">
        <f t="shared" si="12"/>
        <v>8.9189324404796322E-2</v>
      </c>
      <c r="O18" s="22">
        <f t="shared" si="8"/>
        <v>1.0891893244047963</v>
      </c>
      <c r="P18" s="21">
        <f t="shared" si="13"/>
        <v>-1.2117522449575313E-2</v>
      </c>
      <c r="Q18" s="21">
        <f>IFERROR(1-O18/MAX(O$2:O18),"")</f>
        <v>0.17731217439679581</v>
      </c>
      <c r="R18" s="20">
        <f t="shared" si="2"/>
        <v>-17516.218514881537</v>
      </c>
    </row>
    <row r="20" spans="1:18" x14ac:dyDescent="0.15">
      <c r="A20" s="4"/>
    </row>
    <row r="21" spans="1:18" x14ac:dyDescent="0.15">
      <c r="A21" s="4"/>
    </row>
    <row r="22" spans="1:18" x14ac:dyDescent="0.15">
      <c r="A22" s="4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>
      <selection activeCell="I17" sqref="I17"/>
    </sheetView>
  </sheetViews>
  <sheetFormatPr defaultRowHeight="13.5" x14ac:dyDescent="0.15"/>
  <cols>
    <col min="1" max="1" width="10.5" bestFit="1" customWidth="1"/>
    <col min="4" max="4" width="11.25" customWidth="1"/>
    <col min="5" max="5" width="9" style="7"/>
    <col min="6" max="7" width="12.75" style="7" bestFit="1" customWidth="1"/>
  </cols>
  <sheetData>
    <row r="1" spans="1:12" x14ac:dyDescent="0.15">
      <c r="E1" s="7" t="s">
        <v>31</v>
      </c>
      <c r="F1" s="7">
        <v>501001</v>
      </c>
      <c r="G1" s="7">
        <v>501015</v>
      </c>
    </row>
    <row r="2" spans="1:12" x14ac:dyDescent="0.15">
      <c r="D2" s="18">
        <v>42580</v>
      </c>
      <c r="E2" s="7">
        <v>1.2110000000000001</v>
      </c>
      <c r="F2" s="7">
        <v>1.008</v>
      </c>
      <c r="G2" s="7">
        <v>0.99199999999999999</v>
      </c>
    </row>
    <row r="3" spans="1:12" x14ac:dyDescent="0.15">
      <c r="D3" s="18">
        <v>42613</v>
      </c>
      <c r="E3" s="7">
        <v>1.1639999999999999</v>
      </c>
      <c r="F3" s="7">
        <v>1.0389999999999999</v>
      </c>
      <c r="G3" s="7">
        <v>0.998</v>
      </c>
      <c r="I3" s="4">
        <f>E3/E2-1</f>
        <v>-3.8810900082576483E-2</v>
      </c>
      <c r="J3" s="4">
        <f t="shared" ref="J3:K8" si="0">F3/F2-1</f>
        <v>3.0753968253968145E-2</v>
      </c>
      <c r="K3" s="4">
        <f t="shared" si="0"/>
        <v>6.0483870967742437E-3</v>
      </c>
      <c r="L3" s="5">
        <f>I3</f>
        <v>-3.8810900082576483E-2</v>
      </c>
    </row>
    <row r="4" spans="1:12" x14ac:dyDescent="0.15">
      <c r="B4">
        <v>3202.95</v>
      </c>
      <c r="D4" s="18">
        <v>42643</v>
      </c>
      <c r="E4" s="7">
        <v>1.1040000000000001</v>
      </c>
      <c r="F4" s="7">
        <v>1.02</v>
      </c>
      <c r="G4" s="7">
        <v>0.98799999999999999</v>
      </c>
      <c r="I4" s="4">
        <f t="shared" ref="I4:I8" si="1">E4/E3-1</f>
        <v>-5.1546391752577136E-2</v>
      </c>
      <c r="J4" s="4">
        <f t="shared" si="0"/>
        <v>-1.8286814244465766E-2</v>
      </c>
      <c r="K4" s="4">
        <f t="shared" si="0"/>
        <v>-1.0020040080160331E-2</v>
      </c>
      <c r="L4" s="5">
        <f>K4</f>
        <v>-1.0020040080160331E-2</v>
      </c>
    </row>
    <row r="5" spans="1:12" x14ac:dyDescent="0.15">
      <c r="B5">
        <v>3387.96</v>
      </c>
      <c r="D5" s="18">
        <v>42674</v>
      </c>
      <c r="E5" s="7">
        <v>1.1599999999999999</v>
      </c>
      <c r="F5" s="7">
        <v>1.028</v>
      </c>
      <c r="G5" s="7">
        <v>0.996</v>
      </c>
      <c r="I5" s="4">
        <f t="shared" si="1"/>
        <v>5.0724637681159201E-2</v>
      </c>
      <c r="J5" s="4">
        <f t="shared" si="0"/>
        <v>7.8431372549019329E-3</v>
      </c>
      <c r="K5" s="4">
        <f t="shared" si="0"/>
        <v>8.0971659919029104E-3</v>
      </c>
      <c r="L5" s="5">
        <f>I5</f>
        <v>5.0724637681159201E-2</v>
      </c>
    </row>
    <row r="6" spans="1:12" x14ac:dyDescent="0.15">
      <c r="B6" s="4">
        <f>B5/B4-1</f>
        <v>5.7762375310260961E-2</v>
      </c>
      <c r="D6" s="18">
        <v>42704</v>
      </c>
      <c r="E6" s="7">
        <v>1.119</v>
      </c>
      <c r="F6" s="7">
        <v>1.0329999999999999</v>
      </c>
      <c r="G6" s="7">
        <v>1.028</v>
      </c>
      <c r="I6" s="4">
        <f t="shared" si="1"/>
        <v>-3.5344827586206828E-2</v>
      </c>
      <c r="J6" s="4">
        <f t="shared" si="0"/>
        <v>4.8638132295719672E-3</v>
      </c>
      <c r="K6" s="4">
        <f t="shared" si="0"/>
        <v>3.2128514056224855E-2</v>
      </c>
      <c r="L6" s="5">
        <f>I6</f>
        <v>-3.5344827586206828E-2</v>
      </c>
    </row>
    <row r="7" spans="1:12" x14ac:dyDescent="0.15">
      <c r="B7" s="4">
        <f>(1+B6)^(1/A11)-1</f>
        <v>4.3288597419009367E-2</v>
      </c>
      <c r="D7" s="18">
        <v>42734</v>
      </c>
      <c r="E7" s="7">
        <v>1.097</v>
      </c>
      <c r="F7" s="7">
        <v>1.0189999999999999</v>
      </c>
      <c r="G7" s="7">
        <v>0.99399999999999999</v>
      </c>
      <c r="I7" s="4">
        <f t="shared" si="1"/>
        <v>-1.966041108132266E-2</v>
      </c>
      <c r="J7" s="4">
        <f t="shared" si="0"/>
        <v>-1.3552758954501476E-2</v>
      </c>
      <c r="K7" s="4">
        <f t="shared" si="0"/>
        <v>-3.3073929961089488E-2</v>
      </c>
      <c r="L7" s="5">
        <f>K7</f>
        <v>-3.3073929961089488E-2</v>
      </c>
    </row>
    <row r="8" spans="1:12" x14ac:dyDescent="0.15">
      <c r="A8" s="6">
        <v>42277</v>
      </c>
      <c r="D8" s="25">
        <v>42761</v>
      </c>
      <c r="E8" s="7">
        <v>1.0880000000000001</v>
      </c>
      <c r="F8" s="7">
        <v>1.02</v>
      </c>
      <c r="G8" s="7">
        <v>1.0009999999999999</v>
      </c>
      <c r="I8" s="4">
        <f t="shared" si="1"/>
        <v>-8.2041932543298612E-3</v>
      </c>
      <c r="J8" s="4">
        <f t="shared" si="0"/>
        <v>9.8135426889123245E-4</v>
      </c>
      <c r="K8" s="4">
        <f t="shared" si="0"/>
        <v>7.0422535211267512E-3</v>
      </c>
      <c r="L8" s="5">
        <f>J8</f>
        <v>9.8135426889123245E-4</v>
      </c>
    </row>
    <row r="9" spans="1:12" x14ac:dyDescent="0.15">
      <c r="A9" s="6">
        <v>42761</v>
      </c>
      <c r="I9" s="4">
        <f>E8/E2-1</f>
        <v>-0.10156895127993393</v>
      </c>
      <c r="J9" s="4">
        <f t="shared" ref="J9:K9" si="2">F8/F2-1</f>
        <v>1.1904761904761862E-2</v>
      </c>
      <c r="K9" s="4">
        <f t="shared" si="2"/>
        <v>9.0725806451612545E-3</v>
      </c>
      <c r="L9" s="4">
        <f>(1+L3)*(1+L4)*(1+L5)*(1+L6)*(1+L7)*(1+L8)-1</f>
        <v>-6.6497444683083162E-2</v>
      </c>
    </row>
    <row r="10" spans="1:12" x14ac:dyDescent="0.15">
      <c r="A10">
        <f>A9-A8</f>
        <v>484</v>
      </c>
    </row>
    <row r="11" spans="1:12" x14ac:dyDescent="0.15">
      <c r="A11">
        <f>A10/365.25</f>
        <v>1.3251197809719371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2017-01-24T21:28:13Z</dcterms:created>
  <dcterms:modified xsi:type="dcterms:W3CDTF">2017-02-18T09:39:33Z</dcterms:modified>
</cp:coreProperties>
</file>